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360" yWindow="60" windowWidth="13395" windowHeight="5445"/>
  </bookViews>
  <sheets>
    <sheet name="Introduction - Read me" sheetId="6" r:id="rId1"/>
    <sheet name="BPT calculator worked example" sheetId="7" r:id="rId2"/>
    <sheet name="BPT calculator including SSEM" sheetId="4" r:id="rId3"/>
  </sheets>
  <calcPr calcId="145621"/>
</workbook>
</file>

<file path=xl/calcChain.xml><?xml version="1.0" encoding="utf-8"?>
<calcChain xmlns="http://schemas.openxmlformats.org/spreadsheetml/2006/main">
  <c r="H26" i="7" l="1"/>
  <c r="B26" i="7"/>
  <c r="J25" i="7"/>
  <c r="K25" i="7" s="1"/>
  <c r="I25" i="7"/>
  <c r="D25" i="7"/>
  <c r="E25" i="7" s="1"/>
  <c r="C25" i="7"/>
  <c r="J24" i="7"/>
  <c r="K24" i="7" s="1"/>
  <c r="I24" i="7"/>
  <c r="D24" i="7"/>
  <c r="E24" i="7" s="1"/>
  <c r="C24" i="7"/>
  <c r="J23" i="7"/>
  <c r="I23" i="7"/>
  <c r="K23" i="7" s="1"/>
  <c r="D23" i="7"/>
  <c r="C23" i="7"/>
  <c r="J22" i="7"/>
  <c r="I22" i="7"/>
  <c r="K22" i="7" s="1"/>
  <c r="D22" i="7"/>
  <c r="C22" i="7"/>
  <c r="J21" i="7"/>
  <c r="K21" i="7" s="1"/>
  <c r="I21" i="7"/>
  <c r="D21" i="7"/>
  <c r="E21" i="7" s="1"/>
  <c r="C21" i="7"/>
  <c r="J20" i="7"/>
  <c r="I20" i="7"/>
  <c r="K20" i="7" s="1"/>
  <c r="D20" i="7"/>
  <c r="E20" i="7" s="1"/>
  <c r="C20" i="7"/>
  <c r="J19" i="7"/>
  <c r="K19" i="7" s="1"/>
  <c r="I19" i="7"/>
  <c r="D19" i="7"/>
  <c r="C19" i="7"/>
  <c r="J18" i="7"/>
  <c r="I18" i="7"/>
  <c r="D18" i="7"/>
  <c r="C18" i="7"/>
  <c r="K17" i="7"/>
  <c r="J17" i="7"/>
  <c r="I17" i="7"/>
  <c r="I26" i="7" s="1"/>
  <c r="D17" i="7"/>
  <c r="C17" i="7"/>
  <c r="C26" i="7" s="1"/>
  <c r="H13" i="7"/>
  <c r="B13" i="7"/>
  <c r="J12" i="7"/>
  <c r="I12" i="7"/>
  <c r="K12" i="7" s="1"/>
  <c r="D12" i="7"/>
  <c r="E12" i="7" s="1"/>
  <c r="C12" i="7"/>
  <c r="J11" i="7"/>
  <c r="K11" i="7" s="1"/>
  <c r="I11" i="7"/>
  <c r="D11" i="7"/>
  <c r="C11" i="7"/>
  <c r="J10" i="7"/>
  <c r="I10" i="7"/>
  <c r="K10" i="7" s="1"/>
  <c r="D10" i="7"/>
  <c r="C10" i="7"/>
  <c r="J9" i="7"/>
  <c r="K9" i="7" s="1"/>
  <c r="I9" i="7"/>
  <c r="D9" i="7"/>
  <c r="E9" i="7" s="1"/>
  <c r="C9" i="7"/>
  <c r="J8" i="7"/>
  <c r="I8" i="7"/>
  <c r="D8" i="7"/>
  <c r="E8" i="7" s="1"/>
  <c r="C8" i="7"/>
  <c r="J7" i="7"/>
  <c r="I7" i="7"/>
  <c r="K7" i="7" s="1"/>
  <c r="D7" i="7"/>
  <c r="C7" i="7"/>
  <c r="J6" i="7"/>
  <c r="I6" i="7"/>
  <c r="K6" i="7" s="1"/>
  <c r="D6" i="7"/>
  <c r="C6" i="7"/>
  <c r="J5" i="7"/>
  <c r="K5" i="7" s="1"/>
  <c r="I5" i="7"/>
  <c r="D5" i="7"/>
  <c r="E5" i="7" s="1"/>
  <c r="C5" i="7"/>
  <c r="J4" i="7"/>
  <c r="I4" i="7"/>
  <c r="D4" i="7"/>
  <c r="E4" i="7" s="1"/>
  <c r="C4" i="7"/>
  <c r="J3" i="7"/>
  <c r="I3" i="7"/>
  <c r="K3" i="7" s="1"/>
  <c r="D3" i="7"/>
  <c r="C3" i="7"/>
  <c r="C13" i="7" s="1"/>
  <c r="E18" i="7" l="1"/>
  <c r="E19" i="7"/>
  <c r="J13" i="7"/>
  <c r="K4" i="7"/>
  <c r="K13" i="7" s="1"/>
  <c r="K28" i="7" s="1"/>
  <c r="E6" i="7"/>
  <c r="E7" i="7"/>
  <c r="J26" i="7"/>
  <c r="K18" i="7"/>
  <c r="E22" i="7"/>
  <c r="E23" i="7"/>
  <c r="D13" i="7"/>
  <c r="K8" i="7"/>
  <c r="E10" i="7"/>
  <c r="E11" i="7"/>
  <c r="E17" i="7"/>
  <c r="K26" i="7"/>
  <c r="D26" i="7"/>
  <c r="E26" i="7" s="1"/>
  <c r="I13" i="7"/>
  <c r="E3" i="7"/>
  <c r="E13" i="7" s="1"/>
  <c r="E28" i="7" s="1"/>
  <c r="H26" i="4"/>
  <c r="B26" i="4"/>
  <c r="J25" i="4"/>
  <c r="K25" i="4" s="1"/>
  <c r="I25" i="4"/>
  <c r="D25" i="4"/>
  <c r="C25" i="4"/>
  <c r="J24" i="4"/>
  <c r="I24" i="4"/>
  <c r="D24" i="4"/>
  <c r="C24" i="4"/>
  <c r="J23" i="4"/>
  <c r="I23" i="4"/>
  <c r="D23" i="4"/>
  <c r="C23" i="4"/>
  <c r="J22" i="4"/>
  <c r="I22" i="4"/>
  <c r="D22" i="4"/>
  <c r="C22" i="4"/>
  <c r="J21" i="4"/>
  <c r="I21" i="4"/>
  <c r="D21" i="4"/>
  <c r="C21" i="4"/>
  <c r="J20" i="4"/>
  <c r="I20" i="4"/>
  <c r="D20" i="4"/>
  <c r="C20" i="4"/>
  <c r="J19" i="4"/>
  <c r="I19" i="4"/>
  <c r="D19" i="4"/>
  <c r="C19" i="4"/>
  <c r="J18" i="4"/>
  <c r="I18" i="4"/>
  <c r="D18" i="4"/>
  <c r="C18" i="4"/>
  <c r="J17" i="4"/>
  <c r="I17" i="4"/>
  <c r="D17" i="4"/>
  <c r="C17" i="4"/>
  <c r="H13" i="4"/>
  <c r="B13" i="4"/>
  <c r="J12" i="4"/>
  <c r="I12" i="4"/>
  <c r="D12" i="4"/>
  <c r="C12" i="4"/>
  <c r="J11" i="4"/>
  <c r="I11" i="4"/>
  <c r="D11" i="4"/>
  <c r="C11" i="4"/>
  <c r="J10" i="4"/>
  <c r="I10" i="4"/>
  <c r="D10" i="4"/>
  <c r="C10" i="4"/>
  <c r="J9" i="4"/>
  <c r="I9" i="4"/>
  <c r="D9" i="4"/>
  <c r="C9" i="4"/>
  <c r="J8" i="4"/>
  <c r="I8" i="4"/>
  <c r="D8" i="4"/>
  <c r="C8" i="4"/>
  <c r="J7" i="4"/>
  <c r="I7" i="4"/>
  <c r="D7" i="4"/>
  <c r="C7" i="4"/>
  <c r="J6" i="4"/>
  <c r="I6" i="4"/>
  <c r="D6" i="4"/>
  <c r="C6" i="4"/>
  <c r="J5" i="4"/>
  <c r="I5" i="4"/>
  <c r="D5" i="4"/>
  <c r="C5" i="4"/>
  <c r="J4" i="4"/>
  <c r="I4" i="4"/>
  <c r="D4" i="4"/>
  <c r="C4" i="4"/>
  <c r="J3" i="4"/>
  <c r="I3" i="4"/>
  <c r="D3" i="4"/>
  <c r="C3" i="4"/>
  <c r="E22" i="4" l="1"/>
  <c r="K6" i="4"/>
  <c r="K12" i="4"/>
  <c r="E12" i="4"/>
  <c r="J13" i="4"/>
  <c r="K20" i="4"/>
  <c r="C26" i="4"/>
  <c r="E4" i="4"/>
  <c r="E6" i="4"/>
  <c r="E5" i="4"/>
  <c r="E23" i="4"/>
  <c r="E20" i="4"/>
  <c r="K9" i="4"/>
  <c r="K11" i="4"/>
  <c r="E18" i="4"/>
  <c r="E21" i="4"/>
  <c r="K4" i="4"/>
  <c r="E7" i="4"/>
  <c r="E8" i="4"/>
  <c r="E10" i="4"/>
  <c r="K17" i="4"/>
  <c r="K19" i="4"/>
  <c r="K22" i="4"/>
  <c r="I13" i="4"/>
  <c r="K10" i="4"/>
  <c r="K18" i="4"/>
  <c r="C13" i="4"/>
  <c r="K5" i="4"/>
  <c r="E9" i="4"/>
  <c r="E17" i="4"/>
  <c r="K21" i="4"/>
  <c r="E25" i="4"/>
  <c r="D26" i="4"/>
  <c r="D13" i="4"/>
  <c r="K7" i="4"/>
  <c r="K8" i="4"/>
  <c r="E11" i="4"/>
  <c r="I26" i="4"/>
  <c r="E19" i="4"/>
  <c r="K23" i="4"/>
  <c r="K24" i="4"/>
  <c r="J26" i="4"/>
  <c r="K3" i="4"/>
  <c r="E3" i="4"/>
  <c r="K26" i="4" l="1"/>
  <c r="E26" i="4"/>
  <c r="E13" i="4"/>
  <c r="K13" i="4"/>
  <c r="E28" i="4" l="1"/>
  <c r="K28" i="4"/>
</calcChain>
</file>

<file path=xl/sharedStrings.xml><?xml version="1.0" encoding="utf-8"?>
<sst xmlns="http://schemas.openxmlformats.org/spreadsheetml/2006/main" count="159" uniqueCount="37">
  <si>
    <t>DZ65A</t>
  </si>
  <si>
    <t>DZ65B</t>
  </si>
  <si>
    <t>DZ65C</t>
  </si>
  <si>
    <t>DZ65D</t>
  </si>
  <si>
    <t>DZ65E</t>
  </si>
  <si>
    <t>DZ65F</t>
  </si>
  <si>
    <t>DZ65G</t>
  </si>
  <si>
    <t>DZ65H</t>
  </si>
  <si>
    <t>DZ65J</t>
  </si>
  <si>
    <t>DZ65K</t>
  </si>
  <si>
    <t>Number of admissions</t>
  </si>
  <si>
    <t>Diagnostic code</t>
  </si>
  <si>
    <t>Non BPT</t>
  </si>
  <si>
    <t>BPT</t>
  </si>
  <si>
    <t>Total</t>
  </si>
  <si>
    <t>2017/18</t>
  </si>
  <si>
    <t>2018/19</t>
  </si>
  <si>
    <t>Total difference</t>
  </si>
  <si>
    <t>Total Difference</t>
  </si>
  <si>
    <t>Introduction</t>
  </si>
  <si>
    <t>Chronic Obstructive Pulmonary Disease (COPD) BPT Calculator</t>
  </si>
  <si>
    <t>HRG Codes</t>
  </si>
  <si>
    <t>SSEM/Non-SSEM cases</t>
  </si>
  <si>
    <t>Timelines</t>
  </si>
  <si>
    <r>
      <t xml:space="preserve">The short stay emergency adjustment (SSEM) is a mechanism for ensuring appropriate payment for lengths of stay shorter than two days, where the average HRG length of stay (LoS) is longer than this (i.e. as is the case for the majority of AECOPD admissions, </t>
    </r>
    <r>
      <rPr>
        <b/>
        <sz val="11"/>
        <color theme="1"/>
        <rFont val="Calibri"/>
        <family val="2"/>
        <scheme val="minor"/>
      </rPr>
      <t>excluding DZ65K</t>
    </r>
    <r>
      <rPr>
        <sz val="11"/>
        <color theme="1"/>
        <rFont val="Calibri"/>
        <family val="2"/>
        <scheme val="minor"/>
      </rPr>
      <t>). It is</t>
    </r>
    <r>
      <rPr>
        <b/>
        <sz val="11"/>
        <color theme="1"/>
        <rFont val="Calibri"/>
        <family val="2"/>
        <scheme val="minor"/>
      </rPr>
      <t xml:space="preserve"> imperative that SSEMs are taken into account </t>
    </r>
    <r>
      <rPr>
        <sz val="11"/>
        <color theme="1"/>
        <rFont val="Calibri"/>
        <family val="2"/>
        <scheme val="minor"/>
      </rPr>
      <t xml:space="preserve">when using this calculator. </t>
    </r>
    <r>
      <rPr>
        <b/>
        <sz val="11"/>
        <color theme="1"/>
        <rFont val="Calibri"/>
        <family val="2"/>
        <scheme val="minor"/>
      </rPr>
      <t>Failure to do so will result in considerable overestimation of the tariff amount.</t>
    </r>
    <r>
      <rPr>
        <sz val="11"/>
        <color theme="1"/>
        <rFont val="Calibri"/>
        <family val="2"/>
        <scheme val="minor"/>
      </rPr>
      <t xml:space="preserve">
The SSEM applies whether the patient is admitted under a medical or a surgical specialty providing all the following criteria are met: 
a. the patient’s adjusted LoS is either </t>
    </r>
    <r>
      <rPr>
        <b/>
        <sz val="11"/>
        <color theme="1"/>
        <rFont val="Calibri"/>
        <family val="2"/>
        <scheme val="minor"/>
      </rPr>
      <t>zero</t>
    </r>
    <r>
      <rPr>
        <sz val="11"/>
        <color theme="1"/>
        <rFont val="Calibri"/>
        <family val="2"/>
        <scheme val="minor"/>
      </rPr>
      <t xml:space="preserve"> or </t>
    </r>
    <r>
      <rPr>
        <b/>
        <sz val="11"/>
        <color theme="1"/>
        <rFont val="Calibri"/>
        <family val="2"/>
        <scheme val="minor"/>
      </rPr>
      <t xml:space="preserve">one day </t>
    </r>
    <r>
      <rPr>
        <sz val="11"/>
        <color theme="1"/>
        <rFont val="Calibri"/>
        <family val="2"/>
        <scheme val="minor"/>
      </rPr>
      <t xml:space="preserve">
b. the patient is </t>
    </r>
    <r>
      <rPr>
        <b/>
        <sz val="11"/>
        <color theme="1"/>
        <rFont val="Calibri"/>
        <family val="2"/>
        <scheme val="minor"/>
      </rPr>
      <t>not a child</t>
    </r>
    <r>
      <rPr>
        <sz val="11"/>
        <color theme="1"/>
        <rFont val="Calibri"/>
        <family val="2"/>
        <scheme val="minor"/>
      </rPr>
      <t>, defined as aged under 19 years on the date of admission 
c. the admission method code is</t>
    </r>
    <r>
      <rPr>
        <b/>
        <sz val="11"/>
        <color theme="1"/>
        <rFont val="Calibri"/>
        <family val="2"/>
        <scheme val="minor"/>
      </rPr>
      <t xml:space="preserve"> 21-25, 2A, 2B, 2C or 2D</t>
    </r>
    <r>
      <rPr>
        <sz val="11"/>
        <color theme="1"/>
        <rFont val="Calibri"/>
        <family val="2"/>
        <scheme val="minor"/>
      </rPr>
      <t xml:space="preserve"> (or 28 if the provider has not implemented Commissioning Data Set CDS version 6.2) 
d. the average length of non-elective stay for the HRG is two or more days (this is the case for all COPD HRGs, excluding DZ65K)
e. the assignment of the HRG can be based on a diagnosis code, rather than on a procedure code alone, irrespective of whether a diagnosis or procedure is dominant in the HRG derivation. </t>
    </r>
  </si>
  <si>
    <t xml:space="preserve">National COPD Audit Programme </t>
  </si>
  <si>
    <t>This calculator has been produced in collaboration with the NHS England and NHS Improvement pricing teams.</t>
  </si>
  <si>
    <t>Extra Information</t>
  </si>
  <si>
    <t xml:space="preserve">If you have a question about the audit or about how the data is collected, please contact the National COPD Audit Programme team on 020 3075 1526 or via email (copd@rcplondon.ac.uk).  If your query is related to pricing or the national tariff, please email NHSI.pricing@nhs.net  </t>
  </si>
  <si>
    <t>Background to the BPT</t>
  </si>
  <si>
    <t>Emergency admissions (non-SSEM)</t>
  </si>
  <si>
    <t>Reduced short stay emergency admissions</t>
  </si>
  <si>
    <t>BPT increased revenue</t>
  </si>
  <si>
    <r>
      <t xml:space="preserve">The COPD BPT applies to patients charged against the following HRG codes: 
                                                                                                                                                                                                                                                                                                                                                                                                                     a. </t>
    </r>
    <r>
      <rPr>
        <b/>
        <sz val="11"/>
        <color theme="1"/>
        <rFont val="Calibri"/>
        <family val="2"/>
        <scheme val="minor"/>
      </rPr>
      <t>DZ65A</t>
    </r>
    <r>
      <rPr>
        <sz val="11"/>
        <color theme="1"/>
        <rFont val="Calibri"/>
        <family val="2"/>
        <scheme val="minor"/>
      </rPr>
      <t xml:space="preserve"> Chronic Obstructive Pulmonary Disease or Bronchitis, with Multiple Interventions, with CC Score 9+
b. </t>
    </r>
    <r>
      <rPr>
        <b/>
        <sz val="11"/>
        <color theme="1"/>
        <rFont val="Calibri"/>
        <family val="2"/>
        <scheme val="minor"/>
      </rPr>
      <t>DZ65B</t>
    </r>
    <r>
      <rPr>
        <sz val="11"/>
        <color theme="1"/>
        <rFont val="Calibri"/>
        <family val="2"/>
        <scheme val="minor"/>
      </rPr>
      <t xml:space="preserve"> Chronic Obstructive Pulmonary Disease or Bronchitis, with Multiple Interventions, with CC Score 0-8
c. </t>
    </r>
    <r>
      <rPr>
        <b/>
        <sz val="11"/>
        <color theme="1"/>
        <rFont val="Calibri"/>
        <family val="2"/>
        <scheme val="minor"/>
      </rPr>
      <t>DZ65C</t>
    </r>
    <r>
      <rPr>
        <sz val="11"/>
        <color theme="1"/>
        <rFont val="Calibri"/>
        <family val="2"/>
        <scheme val="minor"/>
      </rPr>
      <t xml:space="preserve"> Chronic Obstructive Pulmonary Disease or Bronchitis, with Single Intervention, with CC Score 9+
d. </t>
    </r>
    <r>
      <rPr>
        <b/>
        <sz val="11"/>
        <color theme="1"/>
        <rFont val="Calibri"/>
        <family val="2"/>
        <scheme val="minor"/>
      </rPr>
      <t>DZ65D</t>
    </r>
    <r>
      <rPr>
        <sz val="11"/>
        <color theme="1"/>
        <rFont val="Calibri"/>
        <family val="2"/>
        <scheme val="minor"/>
      </rPr>
      <t xml:space="preserve"> Chronic Obstructive Pulmonary Disease or Bronchitis, with Single Intervention, with CC Score 5-8
e.</t>
    </r>
    <r>
      <rPr>
        <b/>
        <sz val="11"/>
        <color theme="1"/>
        <rFont val="Calibri"/>
        <family val="2"/>
        <scheme val="minor"/>
      </rPr>
      <t xml:space="preserve"> DZ65E</t>
    </r>
    <r>
      <rPr>
        <sz val="11"/>
        <color theme="1"/>
        <rFont val="Calibri"/>
        <family val="2"/>
        <scheme val="minor"/>
      </rPr>
      <t xml:space="preserve"> Chronic Obstructive Pulmonary Disease or Bronchitis, with Single Intervention, with CC Score 0-4
f. </t>
    </r>
    <r>
      <rPr>
        <b/>
        <sz val="11"/>
        <color theme="1"/>
        <rFont val="Calibri"/>
        <family val="2"/>
        <scheme val="minor"/>
      </rPr>
      <t>DZ65F</t>
    </r>
    <r>
      <rPr>
        <sz val="11"/>
        <color theme="1"/>
        <rFont val="Calibri"/>
        <family val="2"/>
        <scheme val="minor"/>
      </rPr>
      <t xml:space="preserve"> Chronic Obstructive Pulmonary Disease or Bronchitis, without Interventions, with CC Score 13+
g. </t>
    </r>
    <r>
      <rPr>
        <b/>
        <sz val="11"/>
        <color theme="1"/>
        <rFont val="Calibri"/>
        <family val="2"/>
        <scheme val="minor"/>
      </rPr>
      <t>DZ65G</t>
    </r>
    <r>
      <rPr>
        <sz val="11"/>
        <color theme="1"/>
        <rFont val="Calibri"/>
        <family val="2"/>
        <scheme val="minor"/>
      </rPr>
      <t xml:space="preserve"> Chronic Obstructive Pulmonary Disease or Bronchitis, without Interventions, with CC Score 9-12
h. </t>
    </r>
    <r>
      <rPr>
        <b/>
        <sz val="11"/>
        <color theme="1"/>
        <rFont val="Calibri"/>
        <family val="2"/>
        <scheme val="minor"/>
      </rPr>
      <t>DZ65H</t>
    </r>
    <r>
      <rPr>
        <sz val="11"/>
        <color theme="1"/>
        <rFont val="Calibri"/>
        <family val="2"/>
        <scheme val="minor"/>
      </rPr>
      <t xml:space="preserve"> Chronic Obstructive Pulmonary Disease or Bronchitis, without Interventions, with CC Score 5-8
i. </t>
    </r>
    <r>
      <rPr>
        <b/>
        <sz val="11"/>
        <color theme="1"/>
        <rFont val="Calibri"/>
        <family val="2"/>
        <scheme val="minor"/>
      </rPr>
      <t xml:space="preserve">DZ65J </t>
    </r>
    <r>
      <rPr>
        <sz val="11"/>
        <color theme="1"/>
        <rFont val="Calibri"/>
        <family val="2"/>
        <scheme val="minor"/>
      </rPr>
      <t xml:space="preserve">Chronic Obstructive Pulmonary Disease or Bronchitis, without Interventions, with CC Score 0-4
j. </t>
    </r>
    <r>
      <rPr>
        <b/>
        <sz val="11"/>
        <color theme="1"/>
        <rFont val="Calibri"/>
        <family val="2"/>
        <scheme val="minor"/>
      </rPr>
      <t>DZ65K</t>
    </r>
    <r>
      <rPr>
        <sz val="11"/>
        <color theme="1"/>
        <rFont val="Calibri"/>
        <family val="2"/>
        <scheme val="minor"/>
      </rPr>
      <t xml:space="preserve"> Chronic Obstructive Pulmonary Disease or Bronchitis, with length of stay 1 day or less, discharged home</t>
    </r>
  </si>
  <si>
    <t>Please note, the timeframe for the increased BPT revenue computed, will depend on the period of time the data entered pertains to. In other words, if a year's worth of data is inputted, the calculator will compute the increased reveneue the trust stands to gain over the course of a year. If six month's of data is inputted, the calculator will compute the increased revenue the trust stands to gain over a six month period. We advise that either a quarter or six month's data is entered in the first instance.</t>
  </si>
  <si>
    <r>
      <t xml:space="preserve">This simple calculator has been designed to help you estimate the financial impact of the COPD BPT on your trust. Its accuracy is predicated on </t>
    </r>
    <r>
      <rPr>
        <b/>
        <sz val="11"/>
        <color theme="1"/>
        <rFont val="Calibri"/>
        <family val="2"/>
        <scheme val="minor"/>
      </rPr>
      <t xml:space="preserve">entry of correct trust-level data </t>
    </r>
    <r>
      <rPr>
        <sz val="11"/>
        <color theme="1"/>
        <rFont val="Calibri"/>
        <family val="2"/>
        <scheme val="minor"/>
      </rPr>
      <t xml:space="preserve">(i.e. on patient throughput, assigned to the appropriate HRG codes). </t>
    </r>
    <r>
      <rPr>
        <b/>
        <sz val="11"/>
        <color theme="1"/>
        <rFont val="Calibri"/>
        <family val="2"/>
        <scheme val="minor"/>
      </rPr>
      <t xml:space="preserve">If incorrect data is entered, you will either overestimate or underestimate the revenue your trust can expect to gain from the BPT.  </t>
    </r>
    <r>
      <rPr>
        <sz val="11"/>
        <color theme="1"/>
        <rFont val="Calibri"/>
        <family val="2"/>
        <scheme val="minor"/>
      </rPr>
      <t>We, therefore, recommend you work with finance colleagues to populate this, in order to ensure that local circumstance and agreements are appropriately reflected.</t>
    </r>
    <r>
      <rPr>
        <b/>
        <sz val="11"/>
        <color theme="1"/>
        <rFont val="Calibri"/>
        <family val="2"/>
        <scheme val="minor"/>
      </rPr>
      <t xml:space="preserve">
                                                                                                                                                 </t>
    </r>
    <r>
      <rPr>
        <sz val="11"/>
        <color theme="1"/>
        <rFont val="Calibri"/>
        <family val="2"/>
        <scheme val="minor"/>
      </rPr>
      <t xml:space="preserve">                                                                                                                                                                                                                                                                                                                                                                                                                                             To use this BPT calculator, fill in the blue boxes in the tab entitled '</t>
    </r>
    <r>
      <rPr>
        <i/>
        <sz val="11"/>
        <color theme="1"/>
        <rFont val="Calibri"/>
        <family val="2"/>
        <scheme val="minor"/>
      </rPr>
      <t>BPT calculator including SSEM</t>
    </r>
    <r>
      <rPr>
        <sz val="11"/>
        <color theme="1"/>
        <rFont val="Calibri"/>
        <family val="2"/>
        <scheme val="minor"/>
      </rPr>
      <t>' with data (i.e. patient throughput) obtained from your IT search. A worked example can be found in the tab entitled '</t>
    </r>
    <r>
      <rPr>
        <i/>
        <sz val="11"/>
        <color theme="1"/>
        <rFont val="Calibri"/>
        <family val="2"/>
        <scheme val="minor"/>
      </rPr>
      <t>BPT calculator worked example</t>
    </r>
    <r>
      <rPr>
        <sz val="11"/>
        <color theme="1"/>
        <rFont val="Calibri"/>
        <family val="2"/>
        <scheme val="minor"/>
      </rPr>
      <t>'; please note, the figures used here are for illustration only.</t>
    </r>
  </si>
  <si>
    <t xml:space="preserve">The BPT for COPD will be in place for the financial years 2017/18 and 2018/19. Please note that the BPT applies to all non-elective admissions (defined by HRG DZ65), i.e. where the primary diagnosis is Acute Exacerbation of COPD (AECOPD), for trusts in England only.  Best practice will be considered achieved when (at a trust level): 
• 60% of patients with a primary diagnosis of COPD, admitted for an exacerbation of COPD, receive specialist input to their care within 24 hours of admission, and
• Where they receive a discharge bundle before discharge.
Attainment against the COPD BPT will be measured by the National COPD Audit Programme’s continuous secondary care audit.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</si>
</sst>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10" x14ac:knownFonts="1">
    <font>
      <sz val="11"/>
      <color theme="1"/>
      <name val="Calibri"/>
      <family val="2"/>
      <scheme val="minor"/>
    </font>
    <font>
      <b/>
      <sz val="14"/>
      <color theme="1"/>
      <name val="Calibri"/>
      <family val="2"/>
      <scheme val="minor"/>
    </font>
    <font>
      <b/>
      <sz val="11"/>
      <color theme="1"/>
      <name val="Calibri"/>
      <family val="2"/>
      <scheme val="minor"/>
    </font>
    <font>
      <b/>
      <sz val="18"/>
      <color theme="1"/>
      <name val="Calibri"/>
      <family val="2"/>
      <scheme val="minor"/>
    </font>
    <font>
      <sz val="11"/>
      <name val="Calibri"/>
      <family val="2"/>
    </font>
    <font>
      <sz val="11"/>
      <name val="Calibri"/>
      <family val="2"/>
      <scheme val="minor"/>
    </font>
    <font>
      <b/>
      <sz val="16"/>
      <color theme="1"/>
      <name val="Calibri"/>
      <family val="2"/>
      <scheme val="minor"/>
    </font>
    <font>
      <b/>
      <sz val="20"/>
      <color theme="1"/>
      <name val="Calibri"/>
      <family val="2"/>
      <scheme val="minor"/>
    </font>
    <font>
      <i/>
      <sz val="10"/>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8" tint="0.79998168889431442"/>
        <bgColor theme="8" tint="0.79998168889431442"/>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xf>
    <xf numFmtId="0" fontId="0" fillId="2" borderId="1" xfId="0" applyNumberFormat="1" applyFont="1" applyFill="1" applyBorder="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164" fontId="0" fillId="0" borderId="0" xfId="0" applyNumberFormat="1" applyAlignment="1">
      <alignment horizontal="center"/>
    </xf>
    <xf numFmtId="0" fontId="1" fillId="0" borderId="0" xfId="0" applyFont="1" applyAlignment="1">
      <alignment horizontal="left"/>
    </xf>
    <xf numFmtId="164" fontId="5" fillId="0" borderId="0" xfId="0" applyNumberFormat="1" applyFont="1" applyAlignment="1">
      <alignment horizontal="center"/>
    </xf>
    <xf numFmtId="164" fontId="1" fillId="0" borderId="0" xfId="0" applyNumberFormat="1" applyFont="1" applyAlignment="1">
      <alignment horizontal="center"/>
    </xf>
    <xf numFmtId="164" fontId="3" fillId="0" borderId="0" xfId="0" applyNumberFormat="1" applyFont="1" applyAlignment="1">
      <alignment horizontal="center"/>
    </xf>
    <xf numFmtId="164" fontId="0" fillId="0" borderId="0" xfId="0" applyNumberFormat="1" applyFont="1" applyAlignment="1">
      <alignment horizontal="center"/>
    </xf>
    <xf numFmtId="0" fontId="2" fillId="0" borderId="0" xfId="0" applyFont="1" applyBorder="1" applyAlignment="1">
      <alignment horizontal="center"/>
    </xf>
    <xf numFmtId="164" fontId="4" fillId="0" borderId="0" xfId="0" applyNumberFormat="1" applyFont="1" applyBorder="1" applyAlignment="1">
      <alignment horizontal="center" vertical="center" wrapText="1"/>
    </xf>
    <xf numFmtId="0" fontId="0" fillId="0" borderId="0" xfId="0" applyAlignment="1">
      <alignment wrapText="1"/>
    </xf>
    <xf numFmtId="0" fontId="6" fillId="0" borderId="0" xfId="0" applyFont="1"/>
    <xf numFmtId="0" fontId="2" fillId="0" borderId="0" xfId="0" applyFont="1"/>
    <xf numFmtId="0" fontId="1" fillId="0" borderId="0" xfId="0" applyFont="1"/>
    <xf numFmtId="0" fontId="0" fillId="0" borderId="0" xfId="0" applyFont="1" applyAlignment="1">
      <alignment wrapText="1"/>
    </xf>
    <xf numFmtId="0" fontId="1" fillId="0" borderId="0" xfId="0" applyFont="1" applyAlignment="1">
      <alignment wrapText="1"/>
    </xf>
    <xf numFmtId="0" fontId="7" fillId="0" borderId="0" xfId="0" applyFont="1"/>
    <xf numFmtId="0" fontId="8" fillId="0" borderId="0" xfId="0" applyFont="1" applyAlignment="1">
      <alignment wrapText="1"/>
    </xf>
    <xf numFmtId="0" fontId="0" fillId="3" borderId="0" xfId="0" applyFill="1" applyAlignment="1">
      <alignment horizontal="center"/>
    </xf>
    <xf numFmtId="0" fontId="0" fillId="3" borderId="0" xfId="0" applyFill="1"/>
    <xf numFmtId="0" fontId="6" fillId="0" borderId="0" xfId="0" applyFont="1" applyAlignment="1">
      <alignment horizontal="center"/>
    </xf>
    <xf numFmtId="0" fontId="2" fillId="4" borderId="0" xfId="0" applyFont="1" applyFill="1" applyAlignment="1">
      <alignment horizontal="center"/>
    </xf>
    <xf numFmtId="164" fontId="0" fillId="4" borderId="0" xfId="0" applyNumberFormat="1" applyFill="1" applyAlignment="1">
      <alignment horizontal="center"/>
    </xf>
    <xf numFmtId="164" fontId="2" fillId="4" borderId="0" xfId="0" applyNumberFormat="1" applyFont="1" applyFill="1" applyAlignment="1">
      <alignment horizontal="center"/>
    </xf>
    <xf numFmtId="0" fontId="0" fillId="0" borderId="0" xfId="0" applyFill="1"/>
    <xf numFmtId="164" fontId="1" fillId="4" borderId="0" xfId="0" applyNumberFormat="1" applyFont="1" applyFill="1" applyAlignment="1">
      <alignment horizontal="center"/>
    </xf>
    <xf numFmtId="0" fontId="7"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6803136</xdr:colOff>
      <xdr:row>2</xdr:row>
      <xdr:rowOff>21336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03136" cy="11643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24"/>
  <sheetViews>
    <sheetView tabSelected="1" workbookViewId="0">
      <selection activeCell="A15" sqref="A15"/>
    </sheetView>
  </sheetViews>
  <sheetFormatPr defaultRowHeight="15" x14ac:dyDescent="0.25"/>
  <cols>
    <col min="1" max="1" width="175.42578125" customWidth="1"/>
  </cols>
  <sheetData>
    <row r="1" spans="1:1" ht="45" customHeight="1" x14ac:dyDescent="0.25">
      <c r="A1" s="29" t="s">
        <v>25</v>
      </c>
    </row>
    <row r="2" spans="1:1" ht="45" customHeight="1" x14ac:dyDescent="0.25">
      <c r="A2" s="29"/>
    </row>
    <row r="3" spans="1:1" ht="45" customHeight="1" x14ac:dyDescent="0.25">
      <c r="A3" s="29"/>
    </row>
    <row r="4" spans="1:1" ht="13.5" customHeight="1" x14ac:dyDescent="0.4">
      <c r="A4" s="19"/>
    </row>
    <row r="5" spans="1:1" ht="21" x14ac:dyDescent="0.35">
      <c r="A5" s="14" t="s">
        <v>20</v>
      </c>
    </row>
    <row r="6" spans="1:1" x14ac:dyDescent="0.25">
      <c r="A6" s="20" t="s">
        <v>26</v>
      </c>
    </row>
    <row r="7" spans="1:1" ht="12" customHeight="1" x14ac:dyDescent="0.25">
      <c r="A7" s="20"/>
    </row>
    <row r="8" spans="1:1" ht="18.75" x14ac:dyDescent="0.3">
      <c r="A8" s="16" t="s">
        <v>29</v>
      </c>
    </row>
    <row r="9" spans="1:1" ht="105" x14ac:dyDescent="0.25">
      <c r="A9" s="17" t="s">
        <v>36</v>
      </c>
    </row>
    <row r="10" spans="1:1" x14ac:dyDescent="0.25">
      <c r="A10" s="15"/>
    </row>
    <row r="11" spans="1:1" ht="18.75" x14ac:dyDescent="0.3">
      <c r="A11" s="16" t="s">
        <v>19</v>
      </c>
    </row>
    <row r="12" spans="1:1" ht="90" x14ac:dyDescent="0.25">
      <c r="A12" s="17" t="s">
        <v>35</v>
      </c>
    </row>
    <row r="13" spans="1:1" x14ac:dyDescent="0.25">
      <c r="A13" s="13"/>
    </row>
    <row r="14" spans="1:1" ht="18.75" x14ac:dyDescent="0.3">
      <c r="A14" s="18" t="s">
        <v>21</v>
      </c>
    </row>
    <row r="15" spans="1:1" ht="180" x14ac:dyDescent="0.25">
      <c r="A15" s="13" t="s">
        <v>33</v>
      </c>
    </row>
    <row r="16" spans="1:1" x14ac:dyDescent="0.25">
      <c r="A16" s="13"/>
    </row>
    <row r="17" spans="1:1" ht="18.75" x14ac:dyDescent="0.3">
      <c r="A17" s="18" t="s">
        <v>22</v>
      </c>
    </row>
    <row r="18" spans="1:1" ht="150" x14ac:dyDescent="0.25">
      <c r="A18" s="17" t="s">
        <v>24</v>
      </c>
    </row>
    <row r="20" spans="1:1" ht="18.75" x14ac:dyDescent="0.3">
      <c r="A20" s="16" t="s">
        <v>23</v>
      </c>
    </row>
    <row r="21" spans="1:1" ht="45" x14ac:dyDescent="0.25">
      <c r="A21" s="13" t="s">
        <v>34</v>
      </c>
    </row>
    <row r="23" spans="1:1" ht="18.75" x14ac:dyDescent="0.3">
      <c r="A23" s="16" t="s">
        <v>27</v>
      </c>
    </row>
    <row r="24" spans="1:1" ht="30" x14ac:dyDescent="0.25">
      <c r="A24" s="13" t="s">
        <v>28</v>
      </c>
    </row>
  </sheetData>
  <sheetProtection password="ECF9" sheet="1" objects="1" scenarios="1"/>
  <mergeCells count="1">
    <mergeCell ref="A1:A3"/>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I29"/>
  <sheetViews>
    <sheetView topLeftCell="A2" workbookViewId="0">
      <selection activeCell="B22" sqref="B22"/>
    </sheetView>
  </sheetViews>
  <sheetFormatPr defaultRowHeight="15" x14ac:dyDescent="0.25"/>
  <cols>
    <col min="1" max="1" width="15" bestFit="1" customWidth="1"/>
    <col min="2" max="2" width="20.7109375" customWidth="1"/>
    <col min="3" max="3" width="12.42578125" customWidth="1"/>
    <col min="4" max="4" width="12.7109375" customWidth="1"/>
    <col min="5" max="5" width="21.5703125" bestFit="1" customWidth="1"/>
    <col min="6" max="6" width="6.28515625" style="22" customWidth="1"/>
    <col min="7" max="7" width="15" bestFit="1" customWidth="1"/>
    <col min="8" max="8" width="22.42578125" customWidth="1"/>
    <col min="9" max="9" width="13.5703125" style="1" customWidth="1"/>
    <col min="10" max="10" width="11.5703125" style="1" customWidth="1"/>
    <col min="11" max="11" width="21.5703125" bestFit="1" customWidth="1"/>
  </cols>
  <sheetData>
    <row r="1" spans="1:35" ht="21" x14ac:dyDescent="0.35">
      <c r="A1" s="23" t="s">
        <v>15</v>
      </c>
      <c r="B1" s="6" t="s">
        <v>30</v>
      </c>
      <c r="C1" s="5"/>
      <c r="D1" s="1"/>
      <c r="E1" s="3"/>
      <c r="F1" s="21"/>
      <c r="G1" s="23" t="s">
        <v>16</v>
      </c>
      <c r="H1" s="6" t="s">
        <v>30</v>
      </c>
      <c r="K1" s="3"/>
    </row>
    <row r="2" spans="1:35" x14ac:dyDescent="0.25">
      <c r="A2" s="3" t="s">
        <v>11</v>
      </c>
      <c r="B2" s="3" t="s">
        <v>10</v>
      </c>
      <c r="C2" s="4" t="s">
        <v>12</v>
      </c>
      <c r="D2" s="3" t="s">
        <v>13</v>
      </c>
      <c r="E2" s="3" t="s">
        <v>32</v>
      </c>
      <c r="F2" s="21"/>
      <c r="G2" s="3" t="s">
        <v>11</v>
      </c>
      <c r="H2" s="3" t="s">
        <v>10</v>
      </c>
      <c r="I2" s="4" t="s">
        <v>12</v>
      </c>
      <c r="J2" s="3" t="s">
        <v>13</v>
      </c>
      <c r="K2" s="3" t="s">
        <v>32</v>
      </c>
    </row>
    <row r="3" spans="1:35" x14ac:dyDescent="0.25">
      <c r="A3" s="1" t="s">
        <v>0</v>
      </c>
      <c r="B3" s="2">
        <v>10</v>
      </c>
      <c r="C3" s="5">
        <f>B3*6216</f>
        <v>62160</v>
      </c>
      <c r="D3" s="5">
        <f>B3*6877</f>
        <v>68770</v>
      </c>
      <c r="E3" s="5">
        <f>D3-C3</f>
        <v>6610</v>
      </c>
      <c r="F3" s="21"/>
      <c r="G3" s="1" t="s">
        <v>0</v>
      </c>
      <c r="H3" s="2">
        <v>10</v>
      </c>
      <c r="I3" s="5">
        <f>H3*6232</f>
        <v>62320</v>
      </c>
      <c r="J3" s="5">
        <f>H3*6894</f>
        <v>68940</v>
      </c>
      <c r="K3" s="5">
        <f>J3-I3</f>
        <v>6620</v>
      </c>
    </row>
    <row r="4" spans="1:35" x14ac:dyDescent="0.25">
      <c r="A4" s="1" t="s">
        <v>1</v>
      </c>
      <c r="B4" s="2">
        <v>20</v>
      </c>
      <c r="C4" s="5">
        <f>B4*3375</f>
        <v>67500</v>
      </c>
      <c r="D4" s="5">
        <f>B4*3734</f>
        <v>74680</v>
      </c>
      <c r="E4" s="5">
        <f t="shared" ref="E4:E12" si="0">D4-C4</f>
        <v>7180</v>
      </c>
      <c r="F4" s="21"/>
      <c r="G4" s="1" t="s">
        <v>1</v>
      </c>
      <c r="H4" s="2">
        <v>20</v>
      </c>
      <c r="I4" s="5">
        <f>H4*3384</f>
        <v>67680</v>
      </c>
      <c r="J4" s="5">
        <f>H4*3743</f>
        <v>74860</v>
      </c>
      <c r="K4" s="5">
        <f t="shared" ref="K4:K12" si="1">J4-I4</f>
        <v>7180</v>
      </c>
    </row>
    <row r="5" spans="1:35" x14ac:dyDescent="0.25">
      <c r="A5" s="1" t="s">
        <v>2</v>
      </c>
      <c r="B5" s="2">
        <v>10</v>
      </c>
      <c r="C5" s="5">
        <f>B5*4374</f>
        <v>43740</v>
      </c>
      <c r="D5" s="5">
        <f>B5*4839</f>
        <v>48390</v>
      </c>
      <c r="E5" s="5">
        <f t="shared" si="0"/>
        <v>4650</v>
      </c>
      <c r="F5" s="21"/>
      <c r="G5" s="1" t="s">
        <v>2</v>
      </c>
      <c r="H5" s="2">
        <v>10</v>
      </c>
      <c r="I5" s="5">
        <f>H5*4385</f>
        <v>43850</v>
      </c>
      <c r="J5" s="5">
        <f>H5*4851</f>
        <v>48510</v>
      </c>
      <c r="K5" s="5">
        <f t="shared" si="1"/>
        <v>4660</v>
      </c>
    </row>
    <row r="6" spans="1:35" x14ac:dyDescent="0.25">
      <c r="A6" s="1" t="s">
        <v>3</v>
      </c>
      <c r="B6" s="2">
        <v>20</v>
      </c>
      <c r="C6" s="5">
        <f>B6*2885</f>
        <v>57700</v>
      </c>
      <c r="D6" s="5">
        <f>B6*3192</f>
        <v>63840</v>
      </c>
      <c r="E6" s="5">
        <f t="shared" si="0"/>
        <v>6140</v>
      </c>
      <c r="F6" s="21"/>
      <c r="G6" s="1" t="s">
        <v>3</v>
      </c>
      <c r="H6" s="2">
        <v>20</v>
      </c>
      <c r="I6" s="5">
        <f>H6*2892</f>
        <v>57840</v>
      </c>
      <c r="J6" s="5">
        <f>H6*3200</f>
        <v>64000</v>
      </c>
      <c r="K6" s="5">
        <f t="shared" si="1"/>
        <v>6160</v>
      </c>
    </row>
    <row r="7" spans="1:35" x14ac:dyDescent="0.25">
      <c r="A7" s="1" t="s">
        <v>4</v>
      </c>
      <c r="B7" s="2">
        <v>10</v>
      </c>
      <c r="C7" s="5">
        <f>B7*2284</f>
        <v>22840</v>
      </c>
      <c r="D7" s="5">
        <f>B7*2527</f>
        <v>25270</v>
      </c>
      <c r="E7" s="5">
        <f t="shared" si="0"/>
        <v>2430</v>
      </c>
      <c r="F7" s="21"/>
      <c r="G7" s="1" t="s">
        <v>4</v>
      </c>
      <c r="H7" s="2">
        <v>10</v>
      </c>
      <c r="I7" s="5">
        <f>H7*2290</f>
        <v>22900</v>
      </c>
      <c r="J7" s="5">
        <f>H7*2553</f>
        <v>25530</v>
      </c>
      <c r="K7" s="5">
        <f t="shared" si="1"/>
        <v>2630</v>
      </c>
    </row>
    <row r="8" spans="1:35" x14ac:dyDescent="0.25">
      <c r="A8" s="1" t="s">
        <v>5</v>
      </c>
      <c r="B8" s="2">
        <v>40</v>
      </c>
      <c r="C8" s="5">
        <f>B8*4411</f>
        <v>176440</v>
      </c>
      <c r="D8" s="5">
        <f>B8*4880</f>
        <v>195200</v>
      </c>
      <c r="E8" s="5">
        <f t="shared" si="0"/>
        <v>18760</v>
      </c>
      <c r="F8" s="21"/>
      <c r="G8" s="1" t="s">
        <v>5</v>
      </c>
      <c r="H8" s="2">
        <v>40</v>
      </c>
      <c r="I8" s="5">
        <f>H8*4422</f>
        <v>176880</v>
      </c>
      <c r="J8" s="5">
        <f>H8*4892</f>
        <v>195680</v>
      </c>
      <c r="K8" s="5">
        <f t="shared" si="1"/>
        <v>18800</v>
      </c>
    </row>
    <row r="9" spans="1:35" x14ac:dyDescent="0.25">
      <c r="A9" s="1" t="s">
        <v>6</v>
      </c>
      <c r="B9" s="2">
        <v>80</v>
      </c>
      <c r="C9" s="5">
        <f>B9*3179</f>
        <v>254320</v>
      </c>
      <c r="D9" s="5">
        <f>B9*3517</f>
        <v>281360</v>
      </c>
      <c r="E9" s="5">
        <f t="shared" si="0"/>
        <v>27040</v>
      </c>
      <c r="F9" s="21"/>
      <c r="G9" s="1" t="s">
        <v>6</v>
      </c>
      <c r="H9" s="2">
        <v>80</v>
      </c>
      <c r="I9" s="5">
        <f>H9*3187</f>
        <v>254960</v>
      </c>
      <c r="J9" s="5">
        <f>H9*3526</f>
        <v>282080</v>
      </c>
      <c r="K9" s="5">
        <f t="shared" si="1"/>
        <v>27120</v>
      </c>
    </row>
    <row r="10" spans="1:35" x14ac:dyDescent="0.25">
      <c r="A10" s="1" t="s">
        <v>7</v>
      </c>
      <c r="B10" s="2">
        <v>200</v>
      </c>
      <c r="C10" s="5">
        <f>B10*2379</f>
        <v>475800</v>
      </c>
      <c r="D10" s="5">
        <f>B10*2632</f>
        <v>526400</v>
      </c>
      <c r="E10" s="5">
        <f t="shared" si="0"/>
        <v>50600</v>
      </c>
      <c r="F10" s="21"/>
      <c r="G10" s="1" t="s">
        <v>7</v>
      </c>
      <c r="H10" s="2">
        <v>200</v>
      </c>
      <c r="I10" s="5">
        <f>H10*2385</f>
        <v>477000</v>
      </c>
      <c r="J10" s="5">
        <f>H10*2639</f>
        <v>527800</v>
      </c>
      <c r="K10" s="5">
        <f t="shared" si="1"/>
        <v>50800</v>
      </c>
    </row>
    <row r="11" spans="1:35" x14ac:dyDescent="0.25">
      <c r="A11" s="1" t="s">
        <v>8</v>
      </c>
      <c r="B11" s="2">
        <v>180</v>
      </c>
      <c r="C11" s="5">
        <f>B11*1804</f>
        <v>324720</v>
      </c>
      <c r="D11" s="5">
        <f>B11*1996</f>
        <v>359280</v>
      </c>
      <c r="E11" s="5">
        <f t="shared" si="0"/>
        <v>34560</v>
      </c>
      <c r="F11" s="21"/>
      <c r="G11" s="1" t="s">
        <v>8</v>
      </c>
      <c r="H11" s="2">
        <v>180</v>
      </c>
      <c r="I11" s="5">
        <f>H11*1809</f>
        <v>325620</v>
      </c>
      <c r="J11" s="5">
        <f>H11*2001</f>
        <v>360180</v>
      </c>
      <c r="K11" s="5">
        <f t="shared" si="1"/>
        <v>34560</v>
      </c>
    </row>
    <row r="12" spans="1:35" x14ac:dyDescent="0.25">
      <c r="A12" s="1" t="s">
        <v>9</v>
      </c>
      <c r="B12" s="2">
        <v>400</v>
      </c>
      <c r="C12" s="5">
        <f>B12*467</f>
        <v>186800</v>
      </c>
      <c r="D12" s="5">
        <f>B12*517</f>
        <v>206800</v>
      </c>
      <c r="E12" s="5">
        <f t="shared" si="0"/>
        <v>20000</v>
      </c>
      <c r="F12" s="21"/>
      <c r="G12" s="1" t="s">
        <v>9</v>
      </c>
      <c r="H12" s="2">
        <v>400</v>
      </c>
      <c r="I12" s="5">
        <f>H12*468</f>
        <v>187200</v>
      </c>
      <c r="J12" s="5">
        <f>H12*518</f>
        <v>207200</v>
      </c>
      <c r="K12" s="5">
        <f t="shared" si="1"/>
        <v>20000</v>
      </c>
    </row>
    <row r="13" spans="1:35" ht="18.75" x14ac:dyDescent="0.3">
      <c r="A13" s="3" t="s">
        <v>14</v>
      </c>
      <c r="B13" s="3">
        <f>SUM(B3:B12)</f>
        <v>970</v>
      </c>
      <c r="C13" s="5">
        <f>SUM(C3:C12)</f>
        <v>1672020</v>
      </c>
      <c r="D13" s="5">
        <f>SUM(D3:D12)</f>
        <v>1849990</v>
      </c>
      <c r="E13" s="8">
        <f>SUM(E3:E12)</f>
        <v>177970</v>
      </c>
      <c r="F13" s="21"/>
      <c r="G13" s="3" t="s">
        <v>14</v>
      </c>
      <c r="H13" s="3">
        <f>SUM(H3:H12)</f>
        <v>970</v>
      </c>
      <c r="I13" s="5">
        <f>SUM(I3:I12)</f>
        <v>1676250</v>
      </c>
      <c r="J13" s="5">
        <f>SUM(J3:J12)</f>
        <v>1854780</v>
      </c>
      <c r="K13" s="8">
        <f>SUM(K3:K12)</f>
        <v>178530</v>
      </c>
    </row>
    <row r="14" spans="1:35" s="22" customFormat="1" x14ac:dyDescent="0.25">
      <c r="A14" s="24"/>
      <c r="B14" s="24"/>
      <c r="C14" s="25"/>
      <c r="D14" s="25"/>
      <c r="E14" s="26"/>
      <c r="F14" s="21"/>
      <c r="G14" s="24"/>
      <c r="H14" s="24"/>
      <c r="I14" s="25"/>
      <c r="J14" s="25"/>
      <c r="K14" s="26"/>
      <c r="L14" s="27"/>
      <c r="M14" s="27"/>
      <c r="N14" s="27"/>
      <c r="O14" s="27"/>
      <c r="P14" s="27"/>
      <c r="Q14" s="27"/>
      <c r="R14" s="27"/>
      <c r="S14" s="27"/>
      <c r="T14" s="27"/>
      <c r="U14" s="27"/>
      <c r="V14" s="27"/>
      <c r="W14" s="27"/>
      <c r="X14" s="27"/>
      <c r="Y14" s="27"/>
      <c r="Z14" s="27"/>
      <c r="AA14" s="27"/>
      <c r="AB14" s="27"/>
      <c r="AC14" s="27"/>
      <c r="AD14" s="27"/>
      <c r="AE14" s="27"/>
      <c r="AF14" s="27"/>
      <c r="AG14" s="27"/>
      <c r="AH14" s="27"/>
      <c r="AI14" s="27"/>
    </row>
    <row r="15" spans="1:35" ht="21" x14ac:dyDescent="0.35">
      <c r="A15" s="23" t="s">
        <v>15</v>
      </c>
      <c r="B15" s="6" t="s">
        <v>31</v>
      </c>
      <c r="C15" s="5"/>
      <c r="D15" s="5"/>
      <c r="E15" s="3"/>
      <c r="F15" s="21"/>
      <c r="G15" s="23" t="s">
        <v>16</v>
      </c>
      <c r="H15" s="6" t="s">
        <v>31</v>
      </c>
      <c r="I15" s="5"/>
      <c r="J15" s="5"/>
      <c r="K15" s="3"/>
    </row>
    <row r="16" spans="1:35" x14ac:dyDescent="0.25">
      <c r="A16" s="3" t="s">
        <v>11</v>
      </c>
      <c r="B16" s="11" t="s">
        <v>10</v>
      </c>
      <c r="C16" s="4" t="s">
        <v>12</v>
      </c>
      <c r="D16" s="3" t="s">
        <v>13</v>
      </c>
      <c r="E16" s="3" t="s">
        <v>32</v>
      </c>
      <c r="F16" s="21"/>
      <c r="G16" s="3" t="s">
        <v>11</v>
      </c>
      <c r="H16" s="3" t="s">
        <v>10</v>
      </c>
      <c r="I16" s="4" t="s">
        <v>12</v>
      </c>
      <c r="J16" s="3" t="s">
        <v>13</v>
      </c>
      <c r="K16" s="3" t="s">
        <v>32</v>
      </c>
    </row>
    <row r="17" spans="1:11" x14ac:dyDescent="0.25">
      <c r="A17" s="1" t="s">
        <v>0</v>
      </c>
      <c r="B17" s="2">
        <v>1</v>
      </c>
      <c r="C17" s="12">
        <f>B17*1865</f>
        <v>1865</v>
      </c>
      <c r="D17" s="12">
        <f>B17*2063</f>
        <v>2063</v>
      </c>
      <c r="E17" s="10">
        <f>D17-C17</f>
        <v>198</v>
      </c>
      <c r="F17" s="21"/>
      <c r="G17" s="1" t="s">
        <v>0</v>
      </c>
      <c r="H17" s="2">
        <v>1</v>
      </c>
      <c r="I17" s="12">
        <f>H17*1870</f>
        <v>1870</v>
      </c>
      <c r="J17" s="12">
        <f>H17*2068</f>
        <v>2068</v>
      </c>
      <c r="K17" s="4">
        <f>J17-I17</f>
        <v>198</v>
      </c>
    </row>
    <row r="18" spans="1:11" x14ac:dyDescent="0.25">
      <c r="A18" s="1" t="s">
        <v>1</v>
      </c>
      <c r="B18" s="2">
        <v>2</v>
      </c>
      <c r="C18" s="12">
        <f>B18*1013</f>
        <v>2026</v>
      </c>
      <c r="D18" s="12">
        <f>B18*1120</f>
        <v>2240</v>
      </c>
      <c r="E18" s="10">
        <f t="shared" ref="E18:E26" si="2">D18-C18</f>
        <v>214</v>
      </c>
      <c r="F18" s="21"/>
      <c r="G18" s="1" t="s">
        <v>1</v>
      </c>
      <c r="H18" s="2">
        <v>2</v>
      </c>
      <c r="I18" s="12">
        <f>H18*1016</f>
        <v>2032</v>
      </c>
      <c r="J18" s="12">
        <f>H18*1123</f>
        <v>2246</v>
      </c>
      <c r="K18" s="4">
        <f t="shared" ref="K18:K26" si="3">J18-I18</f>
        <v>214</v>
      </c>
    </row>
    <row r="19" spans="1:11" x14ac:dyDescent="0.25">
      <c r="A19" s="1" t="s">
        <v>2</v>
      </c>
      <c r="B19" s="2">
        <v>1</v>
      </c>
      <c r="C19" s="12">
        <f>B19*1312</f>
        <v>1312</v>
      </c>
      <c r="D19" s="12">
        <f>B19*1452</f>
        <v>1452</v>
      </c>
      <c r="E19" s="10">
        <f t="shared" si="2"/>
        <v>140</v>
      </c>
      <c r="F19" s="21"/>
      <c r="G19" s="1" t="s">
        <v>2</v>
      </c>
      <c r="H19" s="2">
        <v>1</v>
      </c>
      <c r="I19" s="12">
        <f>H19*1315</f>
        <v>1315</v>
      </c>
      <c r="J19" s="12">
        <f>H19*1456</f>
        <v>1456</v>
      </c>
      <c r="K19" s="4">
        <f t="shared" si="3"/>
        <v>141</v>
      </c>
    </row>
    <row r="20" spans="1:11" x14ac:dyDescent="0.25">
      <c r="A20" s="1" t="s">
        <v>3</v>
      </c>
      <c r="B20" s="2">
        <v>2</v>
      </c>
      <c r="C20" s="12">
        <f>B20*865</f>
        <v>1730</v>
      </c>
      <c r="D20" s="12">
        <f>B20*958</f>
        <v>1916</v>
      </c>
      <c r="E20" s="10">
        <f t="shared" si="2"/>
        <v>186</v>
      </c>
      <c r="F20" s="21"/>
      <c r="G20" s="1" t="s">
        <v>3</v>
      </c>
      <c r="H20" s="2">
        <v>2</v>
      </c>
      <c r="I20" s="12">
        <f>H20*867</f>
        <v>1734</v>
      </c>
      <c r="J20" s="12">
        <f>H20*960</f>
        <v>1920</v>
      </c>
      <c r="K20" s="4">
        <f t="shared" si="3"/>
        <v>186</v>
      </c>
    </row>
    <row r="21" spans="1:11" x14ac:dyDescent="0.25">
      <c r="A21" s="1" t="s">
        <v>4</v>
      </c>
      <c r="B21" s="2">
        <v>1</v>
      </c>
      <c r="C21" s="12">
        <f>B21*685</f>
        <v>685</v>
      </c>
      <c r="D21" s="12">
        <f>B21*758</f>
        <v>758</v>
      </c>
      <c r="E21" s="10">
        <f t="shared" si="2"/>
        <v>73</v>
      </c>
      <c r="F21" s="21"/>
      <c r="G21" s="1" t="s">
        <v>4</v>
      </c>
      <c r="H21" s="2">
        <v>1</v>
      </c>
      <c r="I21" s="12">
        <f>H21*687</f>
        <v>687</v>
      </c>
      <c r="J21" s="12">
        <f>H21*760</f>
        <v>760</v>
      </c>
      <c r="K21" s="4">
        <f t="shared" si="3"/>
        <v>73</v>
      </c>
    </row>
    <row r="22" spans="1:11" x14ac:dyDescent="0.25">
      <c r="A22" s="1" t="s">
        <v>5</v>
      </c>
      <c r="B22" s="2">
        <v>4</v>
      </c>
      <c r="C22" s="12">
        <f>B22*1323</f>
        <v>5292</v>
      </c>
      <c r="D22" s="12">
        <f>B22*1464</f>
        <v>5856</v>
      </c>
      <c r="E22" s="10">
        <f t="shared" si="2"/>
        <v>564</v>
      </c>
      <c r="F22" s="21"/>
      <c r="G22" s="1" t="s">
        <v>5</v>
      </c>
      <c r="H22" s="2">
        <v>4</v>
      </c>
      <c r="I22" s="12">
        <f>H22*1326</f>
        <v>5304</v>
      </c>
      <c r="J22" s="12">
        <f>H22*1468</f>
        <v>5872</v>
      </c>
      <c r="K22" s="4">
        <f t="shared" si="3"/>
        <v>568</v>
      </c>
    </row>
    <row r="23" spans="1:11" x14ac:dyDescent="0.25">
      <c r="A23" s="1" t="s">
        <v>6</v>
      </c>
      <c r="B23" s="2">
        <v>8</v>
      </c>
      <c r="C23" s="12">
        <f>B23*954</f>
        <v>7632</v>
      </c>
      <c r="D23" s="12">
        <f>B23*1055</f>
        <v>8440</v>
      </c>
      <c r="E23" s="10">
        <f t="shared" si="2"/>
        <v>808</v>
      </c>
      <c r="F23" s="21"/>
      <c r="G23" s="1" t="s">
        <v>6</v>
      </c>
      <c r="H23" s="2">
        <v>8</v>
      </c>
      <c r="I23" s="12">
        <f>H23*956</f>
        <v>7648</v>
      </c>
      <c r="J23" s="12">
        <f>H23*1058</f>
        <v>8464</v>
      </c>
      <c r="K23" s="4">
        <f t="shared" si="3"/>
        <v>816</v>
      </c>
    </row>
    <row r="24" spans="1:11" x14ac:dyDescent="0.25">
      <c r="A24" s="1" t="s">
        <v>7</v>
      </c>
      <c r="B24" s="2">
        <v>20</v>
      </c>
      <c r="C24" s="12">
        <f>B24*714</f>
        <v>14280</v>
      </c>
      <c r="D24" s="12">
        <f>B24*790</f>
        <v>15800</v>
      </c>
      <c r="E24" s="10">
        <f t="shared" si="2"/>
        <v>1520</v>
      </c>
      <c r="F24" s="21"/>
      <c r="G24" s="1" t="s">
        <v>7</v>
      </c>
      <c r="H24" s="2">
        <v>20</v>
      </c>
      <c r="I24" s="12">
        <f>H24*716</f>
        <v>14320</v>
      </c>
      <c r="J24" s="12">
        <f>H24*792</f>
        <v>15840</v>
      </c>
      <c r="K24" s="4">
        <f t="shared" si="3"/>
        <v>1520</v>
      </c>
    </row>
    <row r="25" spans="1:11" x14ac:dyDescent="0.25">
      <c r="A25" s="1" t="s">
        <v>8</v>
      </c>
      <c r="B25" s="2">
        <v>18</v>
      </c>
      <c r="C25" s="12">
        <f>B25*541</f>
        <v>9738</v>
      </c>
      <c r="D25" s="12">
        <f>B25*599</f>
        <v>10782</v>
      </c>
      <c r="E25" s="10">
        <f t="shared" si="2"/>
        <v>1044</v>
      </c>
      <c r="F25" s="21"/>
      <c r="G25" s="1" t="s">
        <v>8</v>
      </c>
      <c r="H25" s="2">
        <v>18</v>
      </c>
      <c r="I25" s="12">
        <f>H25*542</f>
        <v>9756</v>
      </c>
      <c r="J25" s="12">
        <f>H25*601</f>
        <v>10818</v>
      </c>
      <c r="K25" s="4">
        <f t="shared" si="3"/>
        <v>1062</v>
      </c>
    </row>
    <row r="26" spans="1:11" ht="18.75" x14ac:dyDescent="0.3">
      <c r="A26" s="1" t="s">
        <v>14</v>
      </c>
      <c r="B26" s="1">
        <f>SUM(B17:B25)</f>
        <v>57</v>
      </c>
      <c r="C26" s="5">
        <f>SUM(C17:C25)</f>
        <v>44560</v>
      </c>
      <c r="D26" s="5">
        <f>SUM(D17:D25)</f>
        <v>49307</v>
      </c>
      <c r="E26" s="8">
        <f t="shared" si="2"/>
        <v>4747</v>
      </c>
      <c r="F26" s="21"/>
      <c r="G26" s="1" t="s">
        <v>14</v>
      </c>
      <c r="H26" s="1">
        <f>SUM(H17:H25)</f>
        <v>57</v>
      </c>
      <c r="I26" s="7">
        <f>SUM(I17:I25)</f>
        <v>44666</v>
      </c>
      <c r="J26" s="7">
        <f>SUM(J17:J25)</f>
        <v>49444</v>
      </c>
      <c r="K26" s="4">
        <f t="shared" si="3"/>
        <v>4778</v>
      </c>
    </row>
    <row r="27" spans="1:11" x14ac:dyDescent="0.25">
      <c r="A27" s="1"/>
      <c r="B27" s="1"/>
      <c r="C27" s="5"/>
      <c r="D27" s="1"/>
      <c r="E27" s="1"/>
      <c r="F27" s="21"/>
      <c r="G27" s="1"/>
      <c r="H27" s="1"/>
      <c r="K27" s="1"/>
    </row>
    <row r="28" spans="1:11" ht="23.25" x14ac:dyDescent="0.35">
      <c r="A28" s="1"/>
      <c r="B28" s="1"/>
      <c r="C28" s="3" t="s">
        <v>17</v>
      </c>
      <c r="D28" s="1"/>
      <c r="E28" s="9">
        <f>SUM(E13+E26)</f>
        <v>182717</v>
      </c>
      <c r="F28" s="21"/>
      <c r="G28" s="1"/>
      <c r="H28" s="1"/>
      <c r="I28" s="3" t="s">
        <v>18</v>
      </c>
      <c r="K28" s="9">
        <f>SUM(K13+K26)</f>
        <v>183308</v>
      </c>
    </row>
    <row r="29" spans="1:11" x14ac:dyDescent="0.25">
      <c r="A29" s="1"/>
      <c r="B29" s="1"/>
      <c r="C29" s="5"/>
      <c r="D29" s="1"/>
      <c r="E29" s="1"/>
      <c r="F29" s="21"/>
      <c r="G29" s="1"/>
      <c r="H29" s="1"/>
      <c r="K29" s="1"/>
    </row>
  </sheetData>
  <sheetProtection password="ECF9"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29"/>
  <sheetViews>
    <sheetView workbookViewId="0">
      <selection activeCell="B31" sqref="B31"/>
    </sheetView>
  </sheetViews>
  <sheetFormatPr defaultRowHeight="15" x14ac:dyDescent="0.25"/>
  <cols>
    <col min="1" max="1" width="15" bestFit="1" customWidth="1"/>
    <col min="2" max="2" width="20.7109375" customWidth="1"/>
    <col min="3" max="3" width="14" customWidth="1"/>
    <col min="4" max="4" width="11.28515625" customWidth="1"/>
    <col min="5" max="5" width="21.5703125" bestFit="1" customWidth="1"/>
    <col min="6" max="6" width="5.140625" style="22" customWidth="1"/>
    <col min="7" max="7" width="15" bestFit="1" customWidth="1"/>
    <col min="8" max="8" width="22.42578125" customWidth="1"/>
    <col min="9" max="9" width="13.7109375" style="1" customWidth="1"/>
    <col min="10" max="10" width="10.5703125" style="1" customWidth="1"/>
    <col min="11" max="11" width="21.5703125" bestFit="1" customWidth="1"/>
  </cols>
  <sheetData>
    <row r="1" spans="1:11" ht="21" x14ac:dyDescent="0.35">
      <c r="A1" s="23" t="s">
        <v>15</v>
      </c>
      <c r="B1" s="6" t="s">
        <v>30</v>
      </c>
      <c r="C1" s="5"/>
      <c r="D1" s="1"/>
      <c r="E1" s="3"/>
      <c r="F1" s="21"/>
      <c r="G1" s="23" t="s">
        <v>16</v>
      </c>
      <c r="H1" s="6" t="s">
        <v>30</v>
      </c>
      <c r="K1" s="3"/>
    </row>
    <row r="2" spans="1:11" x14ac:dyDescent="0.25">
      <c r="A2" s="3" t="s">
        <v>11</v>
      </c>
      <c r="B2" s="3" t="s">
        <v>10</v>
      </c>
      <c r="C2" s="4" t="s">
        <v>12</v>
      </c>
      <c r="D2" s="3" t="s">
        <v>13</v>
      </c>
      <c r="E2" s="3" t="s">
        <v>32</v>
      </c>
      <c r="F2" s="21"/>
      <c r="G2" s="3" t="s">
        <v>11</v>
      </c>
      <c r="H2" s="3" t="s">
        <v>10</v>
      </c>
      <c r="I2" s="4" t="s">
        <v>12</v>
      </c>
      <c r="J2" s="3" t="s">
        <v>13</v>
      </c>
      <c r="K2" s="3" t="s">
        <v>32</v>
      </c>
    </row>
    <row r="3" spans="1:11" x14ac:dyDescent="0.25">
      <c r="A3" s="1" t="s">
        <v>0</v>
      </c>
      <c r="B3" s="2"/>
      <c r="C3" s="5">
        <f>B3*6216</f>
        <v>0</v>
      </c>
      <c r="D3" s="5">
        <f>B3*6877</f>
        <v>0</v>
      </c>
      <c r="E3" s="5">
        <f>D3-C3</f>
        <v>0</v>
      </c>
      <c r="F3" s="21"/>
      <c r="G3" s="1" t="s">
        <v>0</v>
      </c>
      <c r="H3" s="2"/>
      <c r="I3" s="5">
        <f>H3*6232</f>
        <v>0</v>
      </c>
      <c r="J3" s="5">
        <f>H3*6894</f>
        <v>0</v>
      </c>
      <c r="K3" s="5">
        <f>J3-I3</f>
        <v>0</v>
      </c>
    </row>
    <row r="4" spans="1:11" x14ac:dyDescent="0.25">
      <c r="A4" s="1" t="s">
        <v>1</v>
      </c>
      <c r="B4" s="2"/>
      <c r="C4" s="5">
        <f>B4*3375</f>
        <v>0</v>
      </c>
      <c r="D4" s="5">
        <f>B4*3734</f>
        <v>0</v>
      </c>
      <c r="E4" s="5">
        <f t="shared" ref="E4:E12" si="0">D4-C4</f>
        <v>0</v>
      </c>
      <c r="F4" s="21"/>
      <c r="G4" s="1" t="s">
        <v>1</v>
      </c>
      <c r="H4" s="2"/>
      <c r="I4" s="5">
        <f>H4*3384</f>
        <v>0</v>
      </c>
      <c r="J4" s="5">
        <f>H4*3743</f>
        <v>0</v>
      </c>
      <c r="K4" s="5">
        <f t="shared" ref="K4:K12" si="1">J4-I4</f>
        <v>0</v>
      </c>
    </row>
    <row r="5" spans="1:11" x14ac:dyDescent="0.25">
      <c r="A5" s="1" t="s">
        <v>2</v>
      </c>
      <c r="B5" s="2"/>
      <c r="C5" s="5">
        <f>B5*4374</f>
        <v>0</v>
      </c>
      <c r="D5" s="5">
        <f>B5*4839</f>
        <v>0</v>
      </c>
      <c r="E5" s="5">
        <f t="shared" si="0"/>
        <v>0</v>
      </c>
      <c r="F5" s="21"/>
      <c r="G5" s="1" t="s">
        <v>2</v>
      </c>
      <c r="H5" s="2"/>
      <c r="I5" s="5">
        <f>H5*4385</f>
        <v>0</v>
      </c>
      <c r="J5" s="5">
        <f>H5*4851</f>
        <v>0</v>
      </c>
      <c r="K5" s="5">
        <f t="shared" si="1"/>
        <v>0</v>
      </c>
    </row>
    <row r="6" spans="1:11" x14ac:dyDescent="0.25">
      <c r="A6" s="1" t="s">
        <v>3</v>
      </c>
      <c r="B6" s="2"/>
      <c r="C6" s="5">
        <f>B6*2885</f>
        <v>0</v>
      </c>
      <c r="D6" s="5">
        <f>B6*3192</f>
        <v>0</v>
      </c>
      <c r="E6" s="5">
        <f t="shared" si="0"/>
        <v>0</v>
      </c>
      <c r="F6" s="21"/>
      <c r="G6" s="1" t="s">
        <v>3</v>
      </c>
      <c r="H6" s="2"/>
      <c r="I6" s="5">
        <f>H6*2892</f>
        <v>0</v>
      </c>
      <c r="J6" s="5">
        <f>H6*3200</f>
        <v>0</v>
      </c>
      <c r="K6" s="5">
        <f t="shared" si="1"/>
        <v>0</v>
      </c>
    </row>
    <row r="7" spans="1:11" x14ac:dyDescent="0.25">
      <c r="A7" s="1" t="s">
        <v>4</v>
      </c>
      <c r="B7" s="2"/>
      <c r="C7" s="5">
        <f>B7*2284</f>
        <v>0</v>
      </c>
      <c r="D7" s="5">
        <f>B7*2527</f>
        <v>0</v>
      </c>
      <c r="E7" s="5">
        <f t="shared" si="0"/>
        <v>0</v>
      </c>
      <c r="F7" s="21"/>
      <c r="G7" s="1" t="s">
        <v>4</v>
      </c>
      <c r="H7" s="2"/>
      <c r="I7" s="5">
        <f>H7*2290</f>
        <v>0</v>
      </c>
      <c r="J7" s="5">
        <f>H7*2553</f>
        <v>0</v>
      </c>
      <c r="K7" s="5">
        <f t="shared" si="1"/>
        <v>0</v>
      </c>
    </row>
    <row r="8" spans="1:11" x14ac:dyDescent="0.25">
      <c r="A8" s="1" t="s">
        <v>5</v>
      </c>
      <c r="B8" s="2"/>
      <c r="C8" s="5">
        <f>B8*4411</f>
        <v>0</v>
      </c>
      <c r="D8" s="5">
        <f>B8*4880</f>
        <v>0</v>
      </c>
      <c r="E8" s="5">
        <f t="shared" si="0"/>
        <v>0</v>
      </c>
      <c r="F8" s="21"/>
      <c r="G8" s="1" t="s">
        <v>5</v>
      </c>
      <c r="H8" s="2"/>
      <c r="I8" s="5">
        <f>H8*4422</f>
        <v>0</v>
      </c>
      <c r="J8" s="5">
        <f>H8*4892</f>
        <v>0</v>
      </c>
      <c r="K8" s="5">
        <f t="shared" si="1"/>
        <v>0</v>
      </c>
    </row>
    <row r="9" spans="1:11" x14ac:dyDescent="0.25">
      <c r="A9" s="1" t="s">
        <v>6</v>
      </c>
      <c r="B9" s="2"/>
      <c r="C9" s="5">
        <f>B9*3179</f>
        <v>0</v>
      </c>
      <c r="D9" s="5">
        <f>B9*3517</f>
        <v>0</v>
      </c>
      <c r="E9" s="5">
        <f t="shared" si="0"/>
        <v>0</v>
      </c>
      <c r="F9" s="21"/>
      <c r="G9" s="1" t="s">
        <v>6</v>
      </c>
      <c r="H9" s="2"/>
      <c r="I9" s="5">
        <f>H9*3187</f>
        <v>0</v>
      </c>
      <c r="J9" s="5">
        <f>H9*3526</f>
        <v>0</v>
      </c>
      <c r="K9" s="5">
        <f t="shared" si="1"/>
        <v>0</v>
      </c>
    </row>
    <row r="10" spans="1:11" x14ac:dyDescent="0.25">
      <c r="A10" s="1" t="s">
        <v>7</v>
      </c>
      <c r="B10" s="2"/>
      <c r="C10" s="5">
        <f>B10*2379</f>
        <v>0</v>
      </c>
      <c r="D10" s="5">
        <f>B10*2632</f>
        <v>0</v>
      </c>
      <c r="E10" s="5">
        <f t="shared" si="0"/>
        <v>0</v>
      </c>
      <c r="F10" s="21"/>
      <c r="G10" s="1" t="s">
        <v>7</v>
      </c>
      <c r="H10" s="2"/>
      <c r="I10" s="5">
        <f>H10*2385</f>
        <v>0</v>
      </c>
      <c r="J10" s="5">
        <f>H10*2639</f>
        <v>0</v>
      </c>
      <c r="K10" s="5">
        <f t="shared" si="1"/>
        <v>0</v>
      </c>
    </row>
    <row r="11" spans="1:11" x14ac:dyDescent="0.25">
      <c r="A11" s="1" t="s">
        <v>8</v>
      </c>
      <c r="B11" s="2"/>
      <c r="C11" s="5">
        <f>B11*1804</f>
        <v>0</v>
      </c>
      <c r="D11" s="5">
        <f>B11*1996</f>
        <v>0</v>
      </c>
      <c r="E11" s="5">
        <f t="shared" si="0"/>
        <v>0</v>
      </c>
      <c r="F11" s="21"/>
      <c r="G11" s="1" t="s">
        <v>8</v>
      </c>
      <c r="H11" s="2"/>
      <c r="I11" s="5">
        <f>H11*1809</f>
        <v>0</v>
      </c>
      <c r="J11" s="5">
        <f>H11*2001</f>
        <v>0</v>
      </c>
      <c r="K11" s="5">
        <f t="shared" si="1"/>
        <v>0</v>
      </c>
    </row>
    <row r="12" spans="1:11" x14ac:dyDescent="0.25">
      <c r="A12" s="1" t="s">
        <v>9</v>
      </c>
      <c r="B12" s="2"/>
      <c r="C12" s="5">
        <f>B12*467</f>
        <v>0</v>
      </c>
      <c r="D12" s="5">
        <f>B12*517</f>
        <v>0</v>
      </c>
      <c r="E12" s="5">
        <f t="shared" si="0"/>
        <v>0</v>
      </c>
      <c r="F12" s="21"/>
      <c r="G12" s="1" t="s">
        <v>9</v>
      </c>
      <c r="H12" s="2"/>
      <c r="I12" s="5">
        <f>H12*468</f>
        <v>0</v>
      </c>
      <c r="J12" s="5">
        <f>H12*518</f>
        <v>0</v>
      </c>
      <c r="K12" s="5">
        <f t="shared" si="1"/>
        <v>0</v>
      </c>
    </row>
    <row r="13" spans="1:11" ht="18.75" x14ac:dyDescent="0.3">
      <c r="A13" s="3" t="s">
        <v>14</v>
      </c>
      <c r="B13" s="3">
        <f>SUM(B3:B12)</f>
        <v>0</v>
      </c>
      <c r="C13" s="5">
        <f>SUM(C3:C12)</f>
        <v>0</v>
      </c>
      <c r="D13" s="5">
        <f>SUM(D3:D12)</f>
        <v>0</v>
      </c>
      <c r="E13" s="8">
        <f>SUM(E3:E12)</f>
        <v>0</v>
      </c>
      <c r="F13" s="21"/>
      <c r="G13" s="3" t="s">
        <v>14</v>
      </c>
      <c r="H13" s="3">
        <f>SUM(H3:H12)</f>
        <v>0</v>
      </c>
      <c r="I13" s="5">
        <f>SUM(I3:I12)</f>
        <v>0</v>
      </c>
      <c r="J13" s="5">
        <f>SUM(J3:J12)</f>
        <v>0</v>
      </c>
      <c r="K13" s="8">
        <f>SUM(K3:K12)</f>
        <v>0</v>
      </c>
    </row>
    <row r="14" spans="1:11" ht="18.75" x14ac:dyDescent="0.3">
      <c r="A14" s="24"/>
      <c r="B14" s="24"/>
      <c r="C14" s="25"/>
      <c r="D14" s="25"/>
      <c r="E14" s="28"/>
      <c r="F14" s="21"/>
      <c r="G14" s="24"/>
      <c r="H14" s="24"/>
      <c r="I14" s="25"/>
      <c r="J14" s="25"/>
      <c r="K14" s="28"/>
    </row>
    <row r="15" spans="1:11" ht="21" x14ac:dyDescent="0.35">
      <c r="A15" s="23" t="s">
        <v>15</v>
      </c>
      <c r="B15" s="6" t="s">
        <v>31</v>
      </c>
      <c r="C15" s="5"/>
      <c r="D15" s="5"/>
      <c r="E15" s="3"/>
      <c r="F15" s="21"/>
      <c r="G15" s="23" t="s">
        <v>16</v>
      </c>
      <c r="H15" s="6" t="s">
        <v>31</v>
      </c>
      <c r="I15" s="5"/>
      <c r="J15" s="5"/>
      <c r="K15" s="3"/>
    </row>
    <row r="16" spans="1:11" x14ac:dyDescent="0.25">
      <c r="A16" s="3" t="s">
        <v>11</v>
      </c>
      <c r="B16" s="11" t="s">
        <v>10</v>
      </c>
      <c r="C16" s="4" t="s">
        <v>12</v>
      </c>
      <c r="D16" s="3" t="s">
        <v>13</v>
      </c>
      <c r="E16" s="3" t="s">
        <v>32</v>
      </c>
      <c r="F16" s="21"/>
      <c r="G16" s="3" t="s">
        <v>11</v>
      </c>
      <c r="H16" s="3" t="s">
        <v>10</v>
      </c>
      <c r="I16" s="4" t="s">
        <v>12</v>
      </c>
      <c r="J16" s="3" t="s">
        <v>13</v>
      </c>
      <c r="K16" s="3" t="s">
        <v>32</v>
      </c>
    </row>
    <row r="17" spans="1:11" x14ac:dyDescent="0.25">
      <c r="A17" s="1" t="s">
        <v>0</v>
      </c>
      <c r="B17" s="2"/>
      <c r="C17" s="12">
        <f>B17*1865</f>
        <v>0</v>
      </c>
      <c r="D17" s="12">
        <f>B17*2063</f>
        <v>0</v>
      </c>
      <c r="E17" s="10">
        <f>D17-C17</f>
        <v>0</v>
      </c>
      <c r="F17" s="21"/>
      <c r="G17" s="1" t="s">
        <v>0</v>
      </c>
      <c r="H17" s="2"/>
      <c r="I17" s="12">
        <f>H17*1870</f>
        <v>0</v>
      </c>
      <c r="J17" s="12">
        <f>H17*2068</f>
        <v>0</v>
      </c>
      <c r="K17" s="10">
        <f>J17-I17</f>
        <v>0</v>
      </c>
    </row>
    <row r="18" spans="1:11" x14ac:dyDescent="0.25">
      <c r="A18" s="1" t="s">
        <v>1</v>
      </c>
      <c r="B18" s="2"/>
      <c r="C18" s="12">
        <f>B18*1013</f>
        <v>0</v>
      </c>
      <c r="D18" s="12">
        <f>B18*1120</f>
        <v>0</v>
      </c>
      <c r="E18" s="10">
        <f t="shared" ref="E18:E26" si="2">D18-C18</f>
        <v>0</v>
      </c>
      <c r="F18" s="21"/>
      <c r="G18" s="1" t="s">
        <v>1</v>
      </c>
      <c r="H18" s="2"/>
      <c r="I18" s="12">
        <f>H18*1016</f>
        <v>0</v>
      </c>
      <c r="J18" s="12">
        <f>H18*1123</f>
        <v>0</v>
      </c>
      <c r="K18" s="10">
        <f t="shared" ref="K18:K26" si="3">J18-I18</f>
        <v>0</v>
      </c>
    </row>
    <row r="19" spans="1:11" x14ac:dyDescent="0.25">
      <c r="A19" s="1" t="s">
        <v>2</v>
      </c>
      <c r="B19" s="2"/>
      <c r="C19" s="12">
        <f>B19*1312</f>
        <v>0</v>
      </c>
      <c r="D19" s="12">
        <f>B19*1452</f>
        <v>0</v>
      </c>
      <c r="E19" s="10">
        <f t="shared" si="2"/>
        <v>0</v>
      </c>
      <c r="F19" s="21"/>
      <c r="G19" s="1" t="s">
        <v>2</v>
      </c>
      <c r="H19" s="2"/>
      <c r="I19" s="12">
        <f>H19*1315</f>
        <v>0</v>
      </c>
      <c r="J19" s="12">
        <f>H19*1456</f>
        <v>0</v>
      </c>
      <c r="K19" s="10">
        <f t="shared" si="3"/>
        <v>0</v>
      </c>
    </row>
    <row r="20" spans="1:11" x14ac:dyDescent="0.25">
      <c r="A20" s="1" t="s">
        <v>3</v>
      </c>
      <c r="B20" s="2"/>
      <c r="C20" s="12">
        <f>B20*865</f>
        <v>0</v>
      </c>
      <c r="D20" s="12">
        <f>B20*958</f>
        <v>0</v>
      </c>
      <c r="E20" s="10">
        <f t="shared" si="2"/>
        <v>0</v>
      </c>
      <c r="F20" s="21"/>
      <c r="G20" s="1" t="s">
        <v>3</v>
      </c>
      <c r="H20" s="2"/>
      <c r="I20" s="12">
        <f>H20*867</f>
        <v>0</v>
      </c>
      <c r="J20" s="12">
        <f>H20*960</f>
        <v>0</v>
      </c>
      <c r="K20" s="10">
        <f t="shared" si="3"/>
        <v>0</v>
      </c>
    </row>
    <row r="21" spans="1:11" x14ac:dyDescent="0.25">
      <c r="A21" s="1" t="s">
        <v>4</v>
      </c>
      <c r="B21" s="2"/>
      <c r="C21" s="12">
        <f>B21*685</f>
        <v>0</v>
      </c>
      <c r="D21" s="12">
        <f>B21*758</f>
        <v>0</v>
      </c>
      <c r="E21" s="10">
        <f t="shared" si="2"/>
        <v>0</v>
      </c>
      <c r="F21" s="21"/>
      <c r="G21" s="1" t="s">
        <v>4</v>
      </c>
      <c r="H21" s="2"/>
      <c r="I21" s="12">
        <f>H21*687</f>
        <v>0</v>
      </c>
      <c r="J21" s="12">
        <f>H21*760</f>
        <v>0</v>
      </c>
      <c r="K21" s="10">
        <f t="shared" si="3"/>
        <v>0</v>
      </c>
    </row>
    <row r="22" spans="1:11" x14ac:dyDescent="0.25">
      <c r="A22" s="1" t="s">
        <v>5</v>
      </c>
      <c r="B22" s="2"/>
      <c r="C22" s="12">
        <f>B22*1323</f>
        <v>0</v>
      </c>
      <c r="D22" s="12">
        <f>B22*1464</f>
        <v>0</v>
      </c>
      <c r="E22" s="10">
        <f t="shared" si="2"/>
        <v>0</v>
      </c>
      <c r="F22" s="21"/>
      <c r="G22" s="1" t="s">
        <v>5</v>
      </c>
      <c r="H22" s="2"/>
      <c r="I22" s="12">
        <f>H22*1326</f>
        <v>0</v>
      </c>
      <c r="J22" s="12">
        <f>H22*1468</f>
        <v>0</v>
      </c>
      <c r="K22" s="10">
        <f t="shared" si="3"/>
        <v>0</v>
      </c>
    </row>
    <row r="23" spans="1:11" x14ac:dyDescent="0.25">
      <c r="A23" s="1" t="s">
        <v>6</v>
      </c>
      <c r="B23" s="2"/>
      <c r="C23" s="12">
        <f>B23*954</f>
        <v>0</v>
      </c>
      <c r="D23" s="12">
        <f>B23*1055</f>
        <v>0</v>
      </c>
      <c r="E23" s="10">
        <f t="shared" si="2"/>
        <v>0</v>
      </c>
      <c r="F23" s="21"/>
      <c r="G23" s="1" t="s">
        <v>6</v>
      </c>
      <c r="H23" s="2"/>
      <c r="I23" s="12">
        <f>H23*956</f>
        <v>0</v>
      </c>
      <c r="J23" s="12">
        <f>H23*1058</f>
        <v>0</v>
      </c>
      <c r="K23" s="10">
        <f t="shared" si="3"/>
        <v>0</v>
      </c>
    </row>
    <row r="24" spans="1:11" x14ac:dyDescent="0.25">
      <c r="A24" s="1" t="s">
        <v>7</v>
      </c>
      <c r="B24" s="2"/>
      <c r="C24" s="12">
        <f>B24*714</f>
        <v>0</v>
      </c>
      <c r="D24" s="12">
        <f>B24*790</f>
        <v>0</v>
      </c>
      <c r="E24" s="10">
        <v>0</v>
      </c>
      <c r="F24" s="21"/>
      <c r="G24" s="1" t="s">
        <v>7</v>
      </c>
      <c r="H24" s="2"/>
      <c r="I24" s="12">
        <f>H24*716</f>
        <v>0</v>
      </c>
      <c r="J24" s="12">
        <f>H24*792</f>
        <v>0</v>
      </c>
      <c r="K24" s="10">
        <f t="shared" si="3"/>
        <v>0</v>
      </c>
    </row>
    <row r="25" spans="1:11" x14ac:dyDescent="0.25">
      <c r="A25" s="1" t="s">
        <v>8</v>
      </c>
      <c r="B25" s="2"/>
      <c r="C25" s="12">
        <f>B25*541</f>
        <v>0</v>
      </c>
      <c r="D25" s="12">
        <f>B25*599</f>
        <v>0</v>
      </c>
      <c r="E25" s="10">
        <f t="shared" si="2"/>
        <v>0</v>
      </c>
      <c r="F25" s="21"/>
      <c r="G25" s="1" t="s">
        <v>8</v>
      </c>
      <c r="H25" s="2"/>
      <c r="I25" s="12">
        <f>H25*542</f>
        <v>0</v>
      </c>
      <c r="J25" s="12">
        <f>H25*601</f>
        <v>0</v>
      </c>
      <c r="K25" s="10">
        <f t="shared" si="3"/>
        <v>0</v>
      </c>
    </row>
    <row r="26" spans="1:11" ht="18.75" x14ac:dyDescent="0.3">
      <c r="A26" s="1" t="s">
        <v>14</v>
      </c>
      <c r="B26" s="1">
        <f>SUM(B17:B25)</f>
        <v>0</v>
      </c>
      <c r="C26" s="5">
        <f>SUM(C17:C25)</f>
        <v>0</v>
      </c>
      <c r="D26" s="5">
        <f>SUM(D17:D25)</f>
        <v>0</v>
      </c>
      <c r="E26" s="8">
        <f t="shared" si="2"/>
        <v>0</v>
      </c>
      <c r="F26" s="21"/>
      <c r="G26" s="1" t="s">
        <v>14</v>
      </c>
      <c r="H26" s="1">
        <f>SUM(H17:H25)</f>
        <v>0</v>
      </c>
      <c r="I26" s="7">
        <f>SUM(I17:I25)</f>
        <v>0</v>
      </c>
      <c r="J26" s="7">
        <f>SUM(J17:J25)</f>
        <v>0</v>
      </c>
      <c r="K26" s="10">
        <f t="shared" si="3"/>
        <v>0</v>
      </c>
    </row>
    <row r="27" spans="1:11" x14ac:dyDescent="0.25">
      <c r="A27" s="1"/>
      <c r="B27" s="1"/>
      <c r="C27" s="5"/>
      <c r="D27" s="1"/>
      <c r="E27" s="1"/>
      <c r="F27" s="21"/>
      <c r="G27" s="1"/>
      <c r="H27" s="1"/>
      <c r="K27" s="1"/>
    </row>
    <row r="28" spans="1:11" ht="23.25" x14ac:dyDescent="0.35">
      <c r="A28" s="1"/>
      <c r="B28" s="1"/>
      <c r="C28" s="3" t="s">
        <v>17</v>
      </c>
      <c r="D28" s="1"/>
      <c r="E28" s="9">
        <f>SUM(E13+E26)</f>
        <v>0</v>
      </c>
      <c r="F28" s="21"/>
      <c r="G28" s="1"/>
      <c r="H28" s="1"/>
      <c r="I28" s="1" t="s">
        <v>18</v>
      </c>
      <c r="K28" s="9">
        <f>SUM(K13+K26)</f>
        <v>0</v>
      </c>
    </row>
    <row r="29" spans="1:11" x14ac:dyDescent="0.25">
      <c r="A29" s="1"/>
      <c r="B29" s="1"/>
      <c r="C29" s="5"/>
      <c r="D29" s="1"/>
      <c r="E29" s="1"/>
      <c r="F29" s="21"/>
      <c r="G29" s="1"/>
      <c r="H29" s="1"/>
      <c r="K29"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 - Read me</vt:lpstr>
      <vt:lpstr>BPT calculator worked example</vt:lpstr>
      <vt:lpstr>BPT calculator including SSEM</vt:lpstr>
    </vt:vector>
  </TitlesOfParts>
  <Company>NBT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Sanjeevan</dc:creator>
  <cp:lastModifiedBy>James Riordan</cp:lastModifiedBy>
  <dcterms:created xsi:type="dcterms:W3CDTF">2017-03-10T12:09:37Z</dcterms:created>
  <dcterms:modified xsi:type="dcterms:W3CDTF">2017-11-30T13:44:01Z</dcterms:modified>
</cp:coreProperties>
</file>